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8595" windowHeight="11055" activeTab="1"/>
  </bookViews>
  <sheets>
    <sheet name="Chart4" sheetId="8" r:id="rId1"/>
    <sheet name="Sheet1" sheetId="1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V27" i="1" l="1"/>
  <c r="W27" i="1"/>
  <c r="U27" i="1"/>
  <c r="W2" i="1"/>
  <c r="V2" i="1"/>
  <c r="U2" i="1"/>
  <c r="P22" i="1" l="1"/>
  <c r="P15" i="1"/>
  <c r="T3" i="1" l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U1" i="1"/>
  <c r="T1" i="1"/>
  <c r="N9" i="1" l="1"/>
  <c r="M2" i="1"/>
  <c r="C3" i="1"/>
  <c r="U4" i="1" s="1"/>
  <c r="C4" i="1"/>
  <c r="C5" i="1"/>
  <c r="U6" i="1" s="1"/>
  <c r="C6" i="1"/>
  <c r="C7" i="1"/>
  <c r="U8" i="1" s="1"/>
  <c r="C8" i="1"/>
  <c r="C9" i="1"/>
  <c r="U10" i="1" s="1"/>
  <c r="C10" i="1"/>
  <c r="C11" i="1"/>
  <c r="U12" i="1" s="1"/>
  <c r="C12" i="1"/>
  <c r="C13" i="1"/>
  <c r="U14" i="1" s="1"/>
  <c r="C14" i="1"/>
  <c r="C15" i="1"/>
  <c r="U16" i="1" s="1"/>
  <c r="C16" i="1"/>
  <c r="C17" i="1"/>
  <c r="U18" i="1" s="1"/>
  <c r="C18" i="1"/>
  <c r="C19" i="1"/>
  <c r="U20" i="1" s="1"/>
  <c r="C20" i="1"/>
  <c r="C21" i="1"/>
  <c r="U22" i="1" s="1"/>
  <c r="C22" i="1"/>
  <c r="C23" i="1"/>
  <c r="U24" i="1" s="1"/>
  <c r="C24" i="1"/>
  <c r="C25" i="1"/>
  <c r="U26" i="1" s="1"/>
  <c r="C2" i="1"/>
  <c r="D3" i="1"/>
  <c r="F3" i="1" s="1"/>
  <c r="D4" i="1"/>
  <c r="D5" i="1"/>
  <c r="F5" i="1" s="1"/>
  <c r="D6" i="1"/>
  <c r="D7" i="1"/>
  <c r="F7" i="1" s="1"/>
  <c r="D8" i="1"/>
  <c r="D9" i="1"/>
  <c r="F9" i="1" s="1"/>
  <c r="D10" i="1"/>
  <c r="D11" i="1"/>
  <c r="F11" i="1" s="1"/>
  <c r="D12" i="1"/>
  <c r="D13" i="1"/>
  <c r="F13" i="1" s="1"/>
  <c r="D14" i="1"/>
  <c r="D15" i="1"/>
  <c r="F15" i="1" s="1"/>
  <c r="D16" i="1"/>
  <c r="D17" i="1"/>
  <c r="F17" i="1" s="1"/>
  <c r="D18" i="1"/>
  <c r="D19" i="1"/>
  <c r="F19" i="1" s="1"/>
  <c r="D20" i="1"/>
  <c r="D21" i="1"/>
  <c r="F21" i="1" s="1"/>
  <c r="D22" i="1"/>
  <c r="D23" i="1"/>
  <c r="F23" i="1" s="1"/>
  <c r="D24" i="1"/>
  <c r="D25" i="1"/>
  <c r="F25" i="1" s="1"/>
  <c r="D2" i="1"/>
  <c r="L2" i="1" l="1"/>
  <c r="U3" i="1"/>
  <c r="E24" i="1"/>
  <c r="G24" i="1" s="1"/>
  <c r="U25" i="1"/>
  <c r="E22" i="1"/>
  <c r="G22" i="1" s="1"/>
  <c r="U23" i="1"/>
  <c r="E20" i="1"/>
  <c r="G20" i="1" s="1"/>
  <c r="U21" i="1"/>
  <c r="E18" i="1"/>
  <c r="G18" i="1" s="1"/>
  <c r="U19" i="1"/>
  <c r="E16" i="1"/>
  <c r="G16" i="1" s="1"/>
  <c r="U17" i="1"/>
  <c r="E14" i="1"/>
  <c r="G14" i="1" s="1"/>
  <c r="U15" i="1"/>
  <c r="E12" i="1"/>
  <c r="G12" i="1" s="1"/>
  <c r="U13" i="1"/>
  <c r="E10" i="1"/>
  <c r="G10" i="1" s="1"/>
  <c r="U11" i="1"/>
  <c r="E8" i="1"/>
  <c r="G8" i="1" s="1"/>
  <c r="U9" i="1"/>
  <c r="E6" i="1"/>
  <c r="G6" i="1" s="1"/>
  <c r="U7" i="1"/>
  <c r="E4" i="1"/>
  <c r="G4" i="1" s="1"/>
  <c r="U5" i="1"/>
  <c r="E25" i="1"/>
  <c r="G25" i="1" s="1"/>
  <c r="E23" i="1"/>
  <c r="G23" i="1" s="1"/>
  <c r="E21" i="1"/>
  <c r="G21" i="1" s="1"/>
  <c r="E19" i="1"/>
  <c r="G19" i="1" s="1"/>
  <c r="E17" i="1"/>
  <c r="G17" i="1" s="1"/>
  <c r="E15" i="1"/>
  <c r="G15" i="1" s="1"/>
  <c r="E13" i="1"/>
  <c r="G13" i="1" s="1"/>
  <c r="E11" i="1"/>
  <c r="G11" i="1" s="1"/>
  <c r="E9" i="1"/>
  <c r="G9" i="1" s="1"/>
  <c r="E7" i="1"/>
  <c r="G7" i="1" s="1"/>
  <c r="E5" i="1"/>
  <c r="G5" i="1" s="1"/>
  <c r="E3" i="1"/>
  <c r="G3" i="1" s="1"/>
  <c r="H25" i="1"/>
  <c r="H23" i="1"/>
  <c r="H21" i="1"/>
  <c r="H19" i="1"/>
  <c r="H17" i="1"/>
  <c r="H15" i="1"/>
  <c r="H13" i="1"/>
  <c r="H11" i="1"/>
  <c r="H9" i="1"/>
  <c r="H7" i="1"/>
  <c r="H5" i="1"/>
  <c r="H3" i="1"/>
  <c r="F2" i="1"/>
  <c r="F24" i="1"/>
  <c r="F22" i="1"/>
  <c r="F20" i="1"/>
  <c r="F18" i="1"/>
  <c r="F16" i="1"/>
  <c r="F14" i="1"/>
  <c r="F12" i="1"/>
  <c r="F10" i="1"/>
  <c r="F8" i="1"/>
  <c r="F6" i="1"/>
  <c r="F4" i="1"/>
  <c r="E2" i="1"/>
  <c r="G2" i="1" s="1"/>
  <c r="O2" i="1" s="1"/>
  <c r="P6" i="1" s="1"/>
  <c r="H6" i="1" l="1"/>
  <c r="H10" i="1"/>
  <c r="H14" i="1"/>
  <c r="H18" i="1"/>
  <c r="H22" i="1"/>
  <c r="V4" i="1"/>
  <c r="V6" i="1"/>
  <c r="V8" i="1"/>
  <c r="V10" i="1"/>
  <c r="V12" i="1"/>
  <c r="V14" i="1"/>
  <c r="V16" i="1"/>
  <c r="V18" i="1"/>
  <c r="V20" i="1"/>
  <c r="V22" i="1"/>
  <c r="V24" i="1"/>
  <c r="V26" i="1"/>
  <c r="V5" i="1"/>
  <c r="V7" i="1"/>
  <c r="V9" i="1"/>
  <c r="V11" i="1"/>
  <c r="V13" i="1"/>
  <c r="V15" i="1"/>
  <c r="V17" i="1"/>
  <c r="V19" i="1"/>
  <c r="V21" i="1"/>
  <c r="V23" i="1"/>
  <c r="V25" i="1"/>
  <c r="V3" i="1"/>
  <c r="H4" i="1"/>
  <c r="H8" i="1"/>
  <c r="H12" i="1"/>
  <c r="H16" i="1"/>
  <c r="H20" i="1"/>
  <c r="H24" i="1"/>
  <c r="N2" i="1"/>
  <c r="H2" i="1"/>
  <c r="P2" i="1" s="1"/>
  <c r="M6" i="1" s="1"/>
  <c r="L6" i="1" l="1"/>
  <c r="P19" i="1"/>
  <c r="I2" i="1"/>
  <c r="I3" i="1"/>
  <c r="J3" i="1" s="1"/>
  <c r="I5" i="1"/>
  <c r="J5" i="1" s="1"/>
  <c r="I7" i="1"/>
  <c r="J7" i="1" s="1"/>
  <c r="I9" i="1"/>
  <c r="J9" i="1" s="1"/>
  <c r="I11" i="1"/>
  <c r="J11" i="1" s="1"/>
  <c r="I13" i="1"/>
  <c r="J13" i="1" s="1"/>
  <c r="I15" i="1"/>
  <c r="J15" i="1" s="1"/>
  <c r="I17" i="1"/>
  <c r="J17" i="1" s="1"/>
  <c r="I19" i="1"/>
  <c r="J19" i="1" s="1"/>
  <c r="I21" i="1"/>
  <c r="J21" i="1" s="1"/>
  <c r="I23" i="1"/>
  <c r="J23" i="1" s="1"/>
  <c r="I25" i="1"/>
  <c r="J25" i="1" s="1"/>
  <c r="I4" i="1"/>
  <c r="J4" i="1" s="1"/>
  <c r="I6" i="1"/>
  <c r="J6" i="1" s="1"/>
  <c r="I8" i="1"/>
  <c r="J8" i="1" s="1"/>
  <c r="I10" i="1"/>
  <c r="J10" i="1" s="1"/>
  <c r="I12" i="1"/>
  <c r="J12" i="1" s="1"/>
  <c r="I14" i="1"/>
  <c r="J14" i="1" s="1"/>
  <c r="I16" i="1"/>
  <c r="J16" i="1" s="1"/>
  <c r="I18" i="1"/>
  <c r="J18" i="1" s="1"/>
  <c r="I20" i="1"/>
  <c r="J20" i="1" s="1"/>
  <c r="I22" i="1"/>
  <c r="J22" i="1" s="1"/>
  <c r="I24" i="1"/>
  <c r="J24" i="1" s="1"/>
  <c r="J2" i="1" l="1"/>
  <c r="N6" i="1" s="1"/>
  <c r="Q6" i="1" s="1"/>
  <c r="O6" i="1"/>
  <c r="P12" i="1" s="1"/>
  <c r="W4" i="1"/>
  <c r="W6" i="1"/>
  <c r="W8" i="1"/>
  <c r="W10" i="1"/>
  <c r="W12" i="1"/>
  <c r="W14" i="1"/>
  <c r="W16" i="1"/>
  <c r="W18" i="1"/>
  <c r="W20" i="1"/>
  <c r="W22" i="1"/>
  <c r="W24" i="1"/>
  <c r="W26" i="1"/>
  <c r="W5" i="1"/>
  <c r="W7" i="1"/>
  <c r="W9" i="1"/>
  <c r="W11" i="1"/>
  <c r="W13" i="1"/>
  <c r="W15" i="1"/>
  <c r="W17" i="1"/>
  <c r="W19" i="1"/>
  <c r="W21" i="1"/>
  <c r="W23" i="1"/>
  <c r="W25" i="1"/>
  <c r="W3" i="1"/>
  <c r="Y3" i="1"/>
  <c r="Y5" i="1"/>
  <c r="Y4" i="1"/>
  <c r="Y2" i="1"/>
  <c r="AB4" i="1" l="1"/>
  <c r="AA4" i="1"/>
  <c r="AC4" i="1"/>
  <c r="Z4" i="1"/>
  <c r="AB3" i="1"/>
  <c r="AA3" i="1"/>
  <c r="AC3" i="1"/>
  <c r="Z3" i="1"/>
  <c r="P13" i="1"/>
  <c r="L9" i="1"/>
  <c r="M9" i="1"/>
  <c r="AB2" i="1"/>
  <c r="AA2" i="1"/>
  <c r="AC2" i="1"/>
  <c r="Z2" i="1"/>
  <c r="AB5" i="1"/>
  <c r="AA5" i="1"/>
  <c r="AC5" i="1"/>
  <c r="Z5" i="1"/>
  <c r="P14" i="1"/>
  <c r="P16" i="1" s="1"/>
  <c r="L12" i="1" l="1"/>
  <c r="L14" i="1"/>
  <c r="P20" i="1"/>
  <c r="P21" i="1" s="1"/>
  <c r="P23" i="1" s="1"/>
  <c r="M14" i="1"/>
  <c r="M12" i="1"/>
</calcChain>
</file>

<file path=xl/sharedStrings.xml><?xml version="1.0" encoding="utf-8"?>
<sst xmlns="http://schemas.openxmlformats.org/spreadsheetml/2006/main" count="48" uniqueCount="44">
  <si>
    <t>StdSsp(X)</t>
  </si>
  <si>
    <t>PeakInts(Y)</t>
  </si>
  <si>
    <t>Xdev</t>
  </si>
  <si>
    <t>Ydev</t>
  </si>
  <si>
    <t>Xd^2</t>
  </si>
  <si>
    <t>Yd^2</t>
  </si>
  <si>
    <t>Xd*Yd</t>
  </si>
  <si>
    <t>S_XX</t>
  </si>
  <si>
    <t>S_YY</t>
  </si>
  <si>
    <t>S_XY</t>
  </si>
  <si>
    <t>1000Y</t>
  </si>
  <si>
    <t>beta_0</t>
  </si>
  <si>
    <t>beta_1</t>
  </si>
  <si>
    <t>Ybar</t>
  </si>
  <si>
    <t>Xbar</t>
  </si>
  <si>
    <t>Y-hat</t>
  </si>
  <si>
    <t>e</t>
  </si>
  <si>
    <t>SSRes</t>
  </si>
  <si>
    <t>SSReg</t>
  </si>
  <si>
    <t>SSTotal</t>
  </si>
  <si>
    <t>s^2</t>
  </si>
  <si>
    <t>s{b0}</t>
  </si>
  <si>
    <t>s{b1}</t>
  </si>
  <si>
    <t>t(.025,22)</t>
  </si>
  <si>
    <t>beta_0_L</t>
  </si>
  <si>
    <t>beta_0_U</t>
  </si>
  <si>
    <t>beta_1_L</t>
  </si>
  <si>
    <t>beta_1_U</t>
  </si>
  <si>
    <t>F-Test</t>
  </si>
  <si>
    <t>MSReg</t>
  </si>
  <si>
    <t>MSRes</t>
  </si>
  <si>
    <t>F*</t>
  </si>
  <si>
    <t>F-crit</t>
  </si>
  <si>
    <t>P-value</t>
  </si>
  <si>
    <t>t-test</t>
  </si>
  <si>
    <t>b1</t>
  </si>
  <si>
    <t>t(b1)</t>
  </si>
  <si>
    <t>t-crit</t>
  </si>
  <si>
    <t>X0</t>
  </si>
  <si>
    <t>LB_CI</t>
  </si>
  <si>
    <t>UB_CI</t>
  </si>
  <si>
    <t>LB_PI</t>
  </si>
  <si>
    <t>UB_PI</t>
  </si>
  <si>
    <t>Yhat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</si>
</sst>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ECFF"/>
      <color rgb="FFFFCCFF"/>
      <color rgb="FFFF99FF"/>
      <color rgb="FFFF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Peak Intensity (Y) vs Standard Suspension Concentration (X) 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Sheet1!$U$1</c:f>
              <c:strCache>
                <c:ptCount val="1"/>
                <c:pt idx="0">
                  <c:v>1000Y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92D050"/>
              </a:solidFill>
            </c:spPr>
          </c:marker>
          <c:xVal>
            <c:numRef>
              <c:f>Sheet1!$T$2:$T$27</c:f>
              <c:numCache>
                <c:formatCode>General</c:formatCode>
                <c:ptCount val="26"/>
                <c:pt idx="0">
                  <c:v>80</c:v>
                </c:pt>
                <c:pt idx="1">
                  <c:v>99.9</c:v>
                </c:pt>
                <c:pt idx="2">
                  <c:v>99.9</c:v>
                </c:pt>
                <c:pt idx="3">
                  <c:v>99.9</c:v>
                </c:pt>
                <c:pt idx="4">
                  <c:v>99.9</c:v>
                </c:pt>
                <c:pt idx="5">
                  <c:v>99.9</c:v>
                </c:pt>
                <c:pt idx="6">
                  <c:v>99.9</c:v>
                </c:pt>
                <c:pt idx="7">
                  <c:v>125.3</c:v>
                </c:pt>
                <c:pt idx="8">
                  <c:v>125.3</c:v>
                </c:pt>
                <c:pt idx="9">
                  <c:v>125.3</c:v>
                </c:pt>
                <c:pt idx="10">
                  <c:v>125.3</c:v>
                </c:pt>
                <c:pt idx="11">
                  <c:v>125.3</c:v>
                </c:pt>
                <c:pt idx="12">
                  <c:v>125.3</c:v>
                </c:pt>
                <c:pt idx="13">
                  <c:v>150.19999999999999</c:v>
                </c:pt>
                <c:pt idx="14">
                  <c:v>150.19999999999999</c:v>
                </c:pt>
                <c:pt idx="15">
                  <c:v>150.19999999999999</c:v>
                </c:pt>
                <c:pt idx="16">
                  <c:v>150.19999999999999</c:v>
                </c:pt>
                <c:pt idx="17">
                  <c:v>150.19999999999999</c:v>
                </c:pt>
                <c:pt idx="18">
                  <c:v>150.19999999999999</c:v>
                </c:pt>
                <c:pt idx="19">
                  <c:v>174.9</c:v>
                </c:pt>
                <c:pt idx="20">
                  <c:v>174.9</c:v>
                </c:pt>
                <c:pt idx="21">
                  <c:v>174.9</c:v>
                </c:pt>
                <c:pt idx="22">
                  <c:v>174.9</c:v>
                </c:pt>
                <c:pt idx="23">
                  <c:v>174.9</c:v>
                </c:pt>
                <c:pt idx="24">
                  <c:v>174.9</c:v>
                </c:pt>
                <c:pt idx="25">
                  <c:v>180</c:v>
                </c:pt>
              </c:numCache>
            </c:numRef>
          </c:xVal>
          <c:yVal>
            <c:numRef>
              <c:f>Sheet1!$U$2:$U$27</c:f>
              <c:numCache>
                <c:formatCode>General</c:formatCode>
                <c:ptCount val="26"/>
                <c:pt idx="0">
                  <c:v>#N/A</c:v>
                </c:pt>
                <c:pt idx="1">
                  <c:v>102.25</c:v>
                </c:pt>
                <c:pt idx="2">
                  <c:v>103.09</c:v>
                </c:pt>
                <c:pt idx="3">
                  <c:v>103.07</c:v>
                </c:pt>
                <c:pt idx="4">
                  <c:v>103.34</c:v>
                </c:pt>
                <c:pt idx="5">
                  <c:v>102.39</c:v>
                </c:pt>
                <c:pt idx="6">
                  <c:v>102.67</c:v>
                </c:pt>
                <c:pt idx="7">
                  <c:v>110.14999999999999</c:v>
                </c:pt>
                <c:pt idx="8">
                  <c:v>110.86999999999999</c:v>
                </c:pt>
                <c:pt idx="9">
                  <c:v>110.77</c:v>
                </c:pt>
                <c:pt idx="10">
                  <c:v>109.89999999999999</c:v>
                </c:pt>
                <c:pt idx="11">
                  <c:v>110.3</c:v>
                </c:pt>
                <c:pt idx="12">
                  <c:v>111.67</c:v>
                </c:pt>
                <c:pt idx="13">
                  <c:v>118.42999999999999</c:v>
                </c:pt>
                <c:pt idx="14">
                  <c:v>119.36</c:v>
                </c:pt>
                <c:pt idx="15">
                  <c:v>119.46</c:v>
                </c:pt>
                <c:pt idx="16">
                  <c:v>117.55</c:v>
                </c:pt>
                <c:pt idx="17">
                  <c:v>117.81</c:v>
                </c:pt>
                <c:pt idx="18">
                  <c:v>117.39</c:v>
                </c:pt>
                <c:pt idx="19">
                  <c:v>127.17</c:v>
                </c:pt>
                <c:pt idx="20">
                  <c:v>125.87</c:v>
                </c:pt>
                <c:pt idx="21">
                  <c:v>125.8</c:v>
                </c:pt>
                <c:pt idx="22">
                  <c:v>126.7</c:v>
                </c:pt>
                <c:pt idx="23">
                  <c:v>127.28999999999999</c:v>
                </c:pt>
                <c:pt idx="24">
                  <c:v>127.34</c:v>
                </c:pt>
                <c:pt idx="25">
                  <c:v>#N/A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Sheet1!$V$1</c:f>
              <c:strCache>
                <c:ptCount val="1"/>
                <c:pt idx="0">
                  <c:v>Ybar</c:v>
                </c:pt>
              </c:strCache>
            </c:strRef>
          </c:tx>
          <c:spPr>
            <a:ln w="28575">
              <a:solidFill>
                <a:srgbClr val="FFFF00"/>
              </a:solidFill>
            </a:ln>
          </c:spPr>
          <c:marker>
            <c:symbol val="none"/>
          </c:marker>
          <c:xVal>
            <c:numRef>
              <c:f>Sheet1!$T$2:$T$27</c:f>
              <c:numCache>
                <c:formatCode>General</c:formatCode>
                <c:ptCount val="26"/>
                <c:pt idx="0">
                  <c:v>80</c:v>
                </c:pt>
                <c:pt idx="1">
                  <c:v>99.9</c:v>
                </c:pt>
                <c:pt idx="2">
                  <c:v>99.9</c:v>
                </c:pt>
                <c:pt idx="3">
                  <c:v>99.9</c:v>
                </c:pt>
                <c:pt idx="4">
                  <c:v>99.9</c:v>
                </c:pt>
                <c:pt idx="5">
                  <c:v>99.9</c:v>
                </c:pt>
                <c:pt idx="6">
                  <c:v>99.9</c:v>
                </c:pt>
                <c:pt idx="7">
                  <c:v>125.3</c:v>
                </c:pt>
                <c:pt idx="8">
                  <c:v>125.3</c:v>
                </c:pt>
                <c:pt idx="9">
                  <c:v>125.3</c:v>
                </c:pt>
                <c:pt idx="10">
                  <c:v>125.3</c:v>
                </c:pt>
                <c:pt idx="11">
                  <c:v>125.3</c:v>
                </c:pt>
                <c:pt idx="12">
                  <c:v>125.3</c:v>
                </c:pt>
                <c:pt idx="13">
                  <c:v>150.19999999999999</c:v>
                </c:pt>
                <c:pt idx="14">
                  <c:v>150.19999999999999</c:v>
                </c:pt>
                <c:pt idx="15">
                  <c:v>150.19999999999999</c:v>
                </c:pt>
                <c:pt idx="16">
                  <c:v>150.19999999999999</c:v>
                </c:pt>
                <c:pt idx="17">
                  <c:v>150.19999999999999</c:v>
                </c:pt>
                <c:pt idx="18">
                  <c:v>150.19999999999999</c:v>
                </c:pt>
                <c:pt idx="19">
                  <c:v>174.9</c:v>
                </c:pt>
                <c:pt idx="20">
                  <c:v>174.9</c:v>
                </c:pt>
                <c:pt idx="21">
                  <c:v>174.9</c:v>
                </c:pt>
                <c:pt idx="22">
                  <c:v>174.9</c:v>
                </c:pt>
                <c:pt idx="23">
                  <c:v>174.9</c:v>
                </c:pt>
                <c:pt idx="24">
                  <c:v>174.9</c:v>
                </c:pt>
                <c:pt idx="25">
                  <c:v>180</c:v>
                </c:pt>
              </c:numCache>
            </c:numRef>
          </c:xVal>
          <c:yVal>
            <c:numRef>
              <c:f>Sheet1!$V$2:$V$27</c:f>
              <c:numCache>
                <c:formatCode>General</c:formatCode>
                <c:ptCount val="26"/>
                <c:pt idx="0">
                  <c:v>114.61</c:v>
                </c:pt>
                <c:pt idx="1">
                  <c:v>114.61</c:v>
                </c:pt>
                <c:pt idx="2">
                  <c:v>114.61</c:v>
                </c:pt>
                <c:pt idx="3">
                  <c:v>114.61</c:v>
                </c:pt>
                <c:pt idx="4">
                  <c:v>114.61</c:v>
                </c:pt>
                <c:pt idx="5">
                  <c:v>114.61</c:v>
                </c:pt>
                <c:pt idx="6">
                  <c:v>114.61</c:v>
                </c:pt>
                <c:pt idx="7">
                  <c:v>114.61</c:v>
                </c:pt>
                <c:pt idx="8">
                  <c:v>114.61</c:v>
                </c:pt>
                <c:pt idx="9">
                  <c:v>114.61</c:v>
                </c:pt>
                <c:pt idx="10">
                  <c:v>114.61</c:v>
                </c:pt>
                <c:pt idx="11">
                  <c:v>114.61</c:v>
                </c:pt>
                <c:pt idx="12">
                  <c:v>114.61</c:v>
                </c:pt>
                <c:pt idx="13">
                  <c:v>114.61</c:v>
                </c:pt>
                <c:pt idx="14">
                  <c:v>114.61</c:v>
                </c:pt>
                <c:pt idx="15">
                  <c:v>114.61</c:v>
                </c:pt>
                <c:pt idx="16">
                  <c:v>114.61</c:v>
                </c:pt>
                <c:pt idx="17">
                  <c:v>114.61</c:v>
                </c:pt>
                <c:pt idx="18">
                  <c:v>114.61</c:v>
                </c:pt>
                <c:pt idx="19">
                  <c:v>114.61</c:v>
                </c:pt>
                <c:pt idx="20">
                  <c:v>114.61</c:v>
                </c:pt>
                <c:pt idx="21">
                  <c:v>114.61</c:v>
                </c:pt>
                <c:pt idx="22">
                  <c:v>114.61</c:v>
                </c:pt>
                <c:pt idx="23">
                  <c:v>114.61</c:v>
                </c:pt>
                <c:pt idx="24">
                  <c:v>114.61</c:v>
                </c:pt>
                <c:pt idx="25">
                  <c:v>114.61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Sheet1!$W$1</c:f>
              <c:strCache>
                <c:ptCount val="1"/>
                <c:pt idx="0">
                  <c:v>Yhat</c:v>
                </c:pt>
              </c:strCache>
            </c:strRef>
          </c:tx>
          <c:spPr>
            <a:ln w="28575">
              <a:solidFill>
                <a:srgbClr val="FF99FF"/>
              </a:solidFill>
            </a:ln>
          </c:spPr>
          <c:marker>
            <c:symbol val="none"/>
          </c:marker>
          <c:xVal>
            <c:numRef>
              <c:f>Sheet1!$T$2:$T$27</c:f>
              <c:numCache>
                <c:formatCode>General</c:formatCode>
                <c:ptCount val="26"/>
                <c:pt idx="0">
                  <c:v>80</c:v>
                </c:pt>
                <c:pt idx="1">
                  <c:v>99.9</c:v>
                </c:pt>
                <c:pt idx="2">
                  <c:v>99.9</c:v>
                </c:pt>
                <c:pt idx="3">
                  <c:v>99.9</c:v>
                </c:pt>
                <c:pt idx="4">
                  <c:v>99.9</c:v>
                </c:pt>
                <c:pt idx="5">
                  <c:v>99.9</c:v>
                </c:pt>
                <c:pt idx="6">
                  <c:v>99.9</c:v>
                </c:pt>
                <c:pt idx="7">
                  <c:v>125.3</c:v>
                </c:pt>
                <c:pt idx="8">
                  <c:v>125.3</c:v>
                </c:pt>
                <c:pt idx="9">
                  <c:v>125.3</c:v>
                </c:pt>
                <c:pt idx="10">
                  <c:v>125.3</c:v>
                </c:pt>
                <c:pt idx="11">
                  <c:v>125.3</c:v>
                </c:pt>
                <c:pt idx="12">
                  <c:v>125.3</c:v>
                </c:pt>
                <c:pt idx="13">
                  <c:v>150.19999999999999</c:v>
                </c:pt>
                <c:pt idx="14">
                  <c:v>150.19999999999999</c:v>
                </c:pt>
                <c:pt idx="15">
                  <c:v>150.19999999999999</c:v>
                </c:pt>
                <c:pt idx="16">
                  <c:v>150.19999999999999</c:v>
                </c:pt>
                <c:pt idx="17">
                  <c:v>150.19999999999999</c:v>
                </c:pt>
                <c:pt idx="18">
                  <c:v>150.19999999999999</c:v>
                </c:pt>
                <c:pt idx="19">
                  <c:v>174.9</c:v>
                </c:pt>
                <c:pt idx="20">
                  <c:v>174.9</c:v>
                </c:pt>
                <c:pt idx="21">
                  <c:v>174.9</c:v>
                </c:pt>
                <c:pt idx="22">
                  <c:v>174.9</c:v>
                </c:pt>
                <c:pt idx="23">
                  <c:v>174.9</c:v>
                </c:pt>
                <c:pt idx="24">
                  <c:v>174.9</c:v>
                </c:pt>
                <c:pt idx="25">
                  <c:v>180</c:v>
                </c:pt>
              </c:numCache>
            </c:numRef>
          </c:xVal>
          <c:yVal>
            <c:numRef>
              <c:f>Sheet1!$W$2:$W$27</c:f>
              <c:numCache>
                <c:formatCode>General</c:formatCode>
                <c:ptCount val="26"/>
                <c:pt idx="0">
                  <c:v>96.318424160956326</c:v>
                </c:pt>
                <c:pt idx="1">
                  <c:v>102.64065358686982</c:v>
                </c:pt>
                <c:pt idx="2">
                  <c:v>102.64065358686982</c:v>
                </c:pt>
                <c:pt idx="3">
                  <c:v>102.64065358686982</c:v>
                </c:pt>
                <c:pt idx="4">
                  <c:v>102.64065358686982</c:v>
                </c:pt>
                <c:pt idx="5">
                  <c:v>102.64065358686982</c:v>
                </c:pt>
                <c:pt idx="6">
                  <c:v>102.64065358686982</c:v>
                </c:pt>
                <c:pt idx="7">
                  <c:v>110.71023285411619</c:v>
                </c:pt>
                <c:pt idx="8">
                  <c:v>110.71023285411619</c:v>
                </c:pt>
                <c:pt idx="9">
                  <c:v>110.71023285411619</c:v>
                </c:pt>
                <c:pt idx="10">
                  <c:v>110.71023285411619</c:v>
                </c:pt>
                <c:pt idx="11">
                  <c:v>110.71023285411619</c:v>
                </c:pt>
                <c:pt idx="12">
                  <c:v>110.71023285411619</c:v>
                </c:pt>
                <c:pt idx="13">
                  <c:v>118.62096213578681</c:v>
                </c:pt>
                <c:pt idx="14">
                  <c:v>118.62096213578681</c:v>
                </c:pt>
                <c:pt idx="15">
                  <c:v>118.62096213578681</c:v>
                </c:pt>
                <c:pt idx="16">
                  <c:v>118.62096213578681</c:v>
                </c:pt>
                <c:pt idx="17">
                  <c:v>118.62096213578681</c:v>
                </c:pt>
                <c:pt idx="18">
                  <c:v>118.62096213578681</c:v>
                </c:pt>
                <c:pt idx="19">
                  <c:v>126.46815142322718</c:v>
                </c:pt>
                <c:pt idx="20">
                  <c:v>126.46815142322718</c:v>
                </c:pt>
                <c:pt idx="21">
                  <c:v>126.46815142322718</c:v>
                </c:pt>
                <c:pt idx="22">
                  <c:v>126.46815142322718</c:v>
                </c:pt>
                <c:pt idx="23">
                  <c:v>126.46815142322718</c:v>
                </c:pt>
                <c:pt idx="24">
                  <c:v>126.46815142322718</c:v>
                </c:pt>
                <c:pt idx="25">
                  <c:v>128.0884212760995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813120"/>
        <c:axId val="169814656"/>
      </c:scatterChart>
      <c:valAx>
        <c:axId val="169813120"/>
        <c:scaling>
          <c:orientation val="minMax"/>
          <c:max val="195"/>
          <c:min val="7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Standard Suspension Concentration</a:t>
                </a:r>
                <a:r>
                  <a:rPr lang="en-US" baseline="0"/>
                  <a:t> (mg/ml)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69814656"/>
        <c:crosses val="autoZero"/>
        <c:crossBetween val="midCat"/>
        <c:majorUnit val="10"/>
      </c:valAx>
      <c:valAx>
        <c:axId val="169814656"/>
        <c:scaling>
          <c:orientation val="minMax"/>
          <c:min val="9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Peak</a:t>
                </a:r>
                <a:r>
                  <a:rPr lang="en-US" baseline="0"/>
                  <a:t> Intensity x 1000 (AU)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69813120"/>
        <c:crosses val="autoZero"/>
        <c:crossBetween val="midCat"/>
        <c:majorUnit val="5"/>
      </c:valAx>
      <c:spPr>
        <a:solidFill>
          <a:srgbClr val="002060"/>
        </a:solidFill>
      </c:spPr>
    </c:plotArea>
    <c:legend>
      <c:legendPos val="r"/>
      <c:layout/>
      <c:overlay val="0"/>
      <c:spPr>
        <a:solidFill>
          <a:srgbClr val="CCECFF"/>
        </a:solidFill>
        <a:ln>
          <a:solidFill>
            <a:srgbClr val="7030A0"/>
          </a:solidFill>
        </a:ln>
      </c:spPr>
    </c:legend>
    <c:plotVisOnly val="1"/>
    <c:dispBlanksAs val="gap"/>
    <c:showDLblsOverMax val="0"/>
  </c:chart>
  <c:spPr>
    <a:solidFill>
      <a:srgbClr val="FFCCFF"/>
    </a:solidFill>
  </c:sp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2413" cy="62811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7"/>
  <sheetViews>
    <sheetView tabSelected="1" workbookViewId="0">
      <selection activeCell="T1" sqref="T1:W27"/>
    </sheetView>
  </sheetViews>
  <sheetFormatPr defaultRowHeight="15" x14ac:dyDescent="0.25"/>
  <cols>
    <col min="2" max="2" width="10.7109375" customWidth="1"/>
    <col min="3" max="3" width="9.5703125" bestFit="1" customWidth="1"/>
    <col min="16" max="16" width="12" bestFit="1" customWidth="1"/>
  </cols>
  <sheetData>
    <row r="1" spans="1:29" x14ac:dyDescent="0.25">
      <c r="A1" t="s">
        <v>0</v>
      </c>
      <c r="B1" t="s">
        <v>1</v>
      </c>
      <c r="C1" t="s">
        <v>10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15</v>
      </c>
      <c r="J1" t="s">
        <v>16</v>
      </c>
      <c r="L1" t="s">
        <v>13</v>
      </c>
      <c r="M1" t="s">
        <v>14</v>
      </c>
      <c r="N1" t="s">
        <v>7</v>
      </c>
      <c r="O1" t="s">
        <v>8</v>
      </c>
      <c r="P1" t="s">
        <v>9</v>
      </c>
      <c r="T1" t="str">
        <f>A1</f>
        <v>StdSsp(X)</v>
      </c>
      <c r="U1" t="str">
        <f>C1</f>
        <v>1000Y</v>
      </c>
      <c r="V1" t="s">
        <v>13</v>
      </c>
      <c r="W1" t="s">
        <v>43</v>
      </c>
      <c r="X1" t="s">
        <v>38</v>
      </c>
      <c r="Y1" t="s">
        <v>15</v>
      </c>
      <c r="Z1" t="s">
        <v>39</v>
      </c>
      <c r="AA1" t="s">
        <v>40</v>
      </c>
      <c r="AB1" t="s">
        <v>41</v>
      </c>
      <c r="AC1" t="s">
        <v>42</v>
      </c>
    </row>
    <row r="2" spans="1:29" x14ac:dyDescent="0.25">
      <c r="A2">
        <v>99.9</v>
      </c>
      <c r="B2" s="1">
        <v>0.10224999999999999</v>
      </c>
      <c r="C2" s="2">
        <f>B2*1000</f>
        <v>102.25</v>
      </c>
      <c r="D2">
        <f>A2-AVERAGE(A$2:A$25)</f>
        <v>-37.675000000000011</v>
      </c>
      <c r="E2" s="2">
        <f>C2-AVERAGE(C$2:C$25)</f>
        <v>-12.36</v>
      </c>
      <c r="F2">
        <f>D2^2</f>
        <v>1419.4056250000008</v>
      </c>
      <c r="G2">
        <f>E2^2</f>
        <v>152.7696</v>
      </c>
      <c r="H2">
        <f>D2*E2</f>
        <v>465.66300000000012</v>
      </c>
      <c r="I2">
        <f>$L$6+$M$6*A2</f>
        <v>102.64065358686982</v>
      </c>
      <c r="J2" s="2">
        <f>C2-I2</f>
        <v>-0.3906535868698171</v>
      </c>
      <c r="L2" s="2">
        <f>AVERAGE(C2:C25)</f>
        <v>114.61</v>
      </c>
      <c r="M2">
        <f>AVERAGE(A2:A25)</f>
        <v>137.57500000000002</v>
      </c>
      <c r="N2">
        <f>SUM(F2:F25)</f>
        <v>18735.764999999999</v>
      </c>
      <c r="O2">
        <f t="shared" ref="O2:P2" si="0">SUM(G2:G25)</f>
        <v>1901.6352000000002</v>
      </c>
      <c r="P2">
        <f t="shared" si="0"/>
        <v>5952.3519999999999</v>
      </c>
      <c r="T2">
        <v>80</v>
      </c>
      <c r="U2" t="e">
        <f>NA()</f>
        <v>#N/A</v>
      </c>
      <c r="V2">
        <f>AVERAGE($U$3:$U$26)</f>
        <v>114.61</v>
      </c>
      <c r="W2">
        <f>$L$6+$M$6*T2</f>
        <v>96.318424160956326</v>
      </c>
      <c r="X2">
        <v>99.9</v>
      </c>
      <c r="Y2">
        <f>$L$6+$M$6*X2</f>
        <v>102.64065358686982</v>
      </c>
      <c r="Z2">
        <f>Y2-$N$9*SQRT($Q$6*((1/24)+((X2-V3)^2/$N$2)))</f>
        <v>102.30899317336261</v>
      </c>
      <c r="AA2">
        <f>Y2+$N$9*SQRT($Q$6*((1/24)+((X2-V3)^2/$N$2)))</f>
        <v>102.97231400037703</v>
      </c>
      <c r="AB2">
        <f>Y2-$N$9*SQRT($Q$6*(1+(1/24)+((X2-V3)^2/$N$2)))</f>
        <v>101.16517959929229</v>
      </c>
      <c r="AC2">
        <f>Y2+$N$9*SQRT($Q$6*(1+(1/24)+((X2-V3)^2/$N$2)))</f>
        <v>104.11612757444735</v>
      </c>
    </row>
    <row r="3" spans="1:29" x14ac:dyDescent="0.25">
      <c r="A3">
        <v>99.9</v>
      </c>
      <c r="B3" s="1">
        <v>0.10309</v>
      </c>
      <c r="C3" s="2">
        <f t="shared" ref="C3:C25" si="1">B3*1000</f>
        <v>103.09</v>
      </c>
      <c r="D3">
        <f t="shared" ref="D3:D25" si="2">A3-AVERAGE(A$2:A$25)</f>
        <v>-37.675000000000011</v>
      </c>
      <c r="E3" s="2">
        <f t="shared" ref="E3:E25" si="3">C3-AVERAGE(C$2:C$25)</f>
        <v>-11.519999999999996</v>
      </c>
      <c r="F3">
        <f t="shared" ref="F3:F25" si="4">D3^2</f>
        <v>1419.4056250000008</v>
      </c>
      <c r="G3">
        <f t="shared" ref="G3:G25" si="5">E3^2</f>
        <v>132.71039999999991</v>
      </c>
      <c r="H3">
        <f t="shared" ref="H3:H25" si="6">D3*E3</f>
        <v>434.01599999999996</v>
      </c>
      <c r="I3">
        <f t="shared" ref="I3:I25" si="7">$L$6+$M$6*A3</f>
        <v>102.64065358686982</v>
      </c>
      <c r="J3" s="2">
        <f t="shared" ref="J3:J25" si="8">C3-I3</f>
        <v>0.44934641313018631</v>
      </c>
      <c r="T3">
        <f>A2</f>
        <v>99.9</v>
      </c>
      <c r="U3">
        <f>C2</f>
        <v>102.25</v>
      </c>
      <c r="V3">
        <f>AVERAGE($U$3:$U$26)</f>
        <v>114.61</v>
      </c>
      <c r="W3">
        <f>$L$6+$M$6*T3</f>
        <v>102.64065358686982</v>
      </c>
      <c r="X3">
        <v>125.3</v>
      </c>
      <c r="Y3">
        <f t="shared" ref="Y3:Y5" si="9">$L$6+$M$6*X3</f>
        <v>110.71023285411619</v>
      </c>
      <c r="Z3">
        <f>Y3-$N$9*SQRT($Q$6*((1/24)+((X3-V4)^2/$N$2)))</f>
        <v>110.39601389200158</v>
      </c>
      <c r="AA3">
        <f>Y3+$N$9*SQRT($Q$6*((1/24)+((X3-V4)^2/$N$2)))</f>
        <v>111.02445181623079</v>
      </c>
      <c r="AB3">
        <f>Y3-$N$9*SQRT($Q$6*(1+(1/24)+((X3-V4)^2/$N$2)))</f>
        <v>109.23858126006189</v>
      </c>
      <c r="AC3">
        <f>Y3+$N$9*SQRT($Q$6*(1+(1/24)+((X3-V4)^2/$N$2)))</f>
        <v>112.18188444817048</v>
      </c>
    </row>
    <row r="4" spans="1:29" x14ac:dyDescent="0.25">
      <c r="A4">
        <v>99.9</v>
      </c>
      <c r="B4" s="1">
        <v>0.10306999999999999</v>
      </c>
      <c r="C4" s="2">
        <f t="shared" si="1"/>
        <v>103.07</v>
      </c>
      <c r="D4">
        <f t="shared" si="2"/>
        <v>-37.675000000000011</v>
      </c>
      <c r="E4" s="2">
        <f t="shared" si="3"/>
        <v>-11.540000000000006</v>
      </c>
      <c r="F4">
        <f t="shared" si="4"/>
        <v>1419.4056250000008</v>
      </c>
      <c r="G4">
        <f t="shared" si="5"/>
        <v>133.17160000000015</v>
      </c>
      <c r="H4">
        <f t="shared" si="6"/>
        <v>434.76950000000039</v>
      </c>
      <c r="I4">
        <f t="shared" si="7"/>
        <v>102.64065358686982</v>
      </c>
      <c r="J4" s="2">
        <f t="shared" si="8"/>
        <v>0.42934641313017607</v>
      </c>
      <c r="T4">
        <f>A3</f>
        <v>99.9</v>
      </c>
      <c r="U4">
        <f>C3</f>
        <v>103.09</v>
      </c>
      <c r="V4">
        <f t="shared" ref="V4:V27" si="10">AVERAGE($U$3:$U$26)</f>
        <v>114.61</v>
      </c>
      <c r="W4">
        <f t="shared" ref="W4:W26" si="11">$L$6+$M$6*T4</f>
        <v>102.64065358686982</v>
      </c>
      <c r="X4">
        <v>150.19999999999999</v>
      </c>
      <c r="Y4">
        <f t="shared" si="9"/>
        <v>118.62096213578681</v>
      </c>
      <c r="Z4">
        <f>Y4-$N$9*SQRT($Q$6*((1/24)+((X4-V5)^2/$N$2)))</f>
        <v>118.14570526365364</v>
      </c>
      <c r="AA4">
        <f>Y4+$N$9*SQRT($Q$6*((1/24)+((X4-V5)^2/$N$2)))</f>
        <v>119.09621900791998</v>
      </c>
      <c r="AB4">
        <f>Y4-$N$9*SQRT($Q$6*(1+(1/24)+((X4-V5)^2/$N$2)))</f>
        <v>117.10673165377955</v>
      </c>
      <c r="AC4">
        <f>Y4+$N$9*SQRT($Q$6*(1+(1/24)+((X4-V5)^2/$N$2)))</f>
        <v>120.13519261779408</v>
      </c>
    </row>
    <row r="5" spans="1:29" x14ac:dyDescent="0.25">
      <c r="A5">
        <v>99.9</v>
      </c>
      <c r="B5" s="1">
        <v>0.10334</v>
      </c>
      <c r="C5" s="2">
        <f t="shared" si="1"/>
        <v>103.34</v>
      </c>
      <c r="D5">
        <f t="shared" si="2"/>
        <v>-37.675000000000011</v>
      </c>
      <c r="E5" s="2">
        <f t="shared" si="3"/>
        <v>-11.269999999999996</v>
      </c>
      <c r="F5">
        <f t="shared" si="4"/>
        <v>1419.4056250000008</v>
      </c>
      <c r="G5">
        <f t="shared" si="5"/>
        <v>127.01289999999992</v>
      </c>
      <c r="H5">
        <f t="shared" si="6"/>
        <v>424.59724999999997</v>
      </c>
      <c r="I5">
        <f t="shared" si="7"/>
        <v>102.64065358686982</v>
      </c>
      <c r="J5" s="2">
        <f t="shared" si="8"/>
        <v>0.69934641313018631</v>
      </c>
      <c r="L5" t="s">
        <v>11</v>
      </c>
      <c r="M5" t="s">
        <v>12</v>
      </c>
      <c r="N5" t="s">
        <v>17</v>
      </c>
      <c r="O5" t="s">
        <v>18</v>
      </c>
      <c r="P5" t="s">
        <v>19</v>
      </c>
      <c r="Q5" t="s">
        <v>20</v>
      </c>
      <c r="T5">
        <f>A4</f>
        <v>99.9</v>
      </c>
      <c r="U5">
        <f>C4</f>
        <v>103.07</v>
      </c>
      <c r="V5">
        <f t="shared" si="10"/>
        <v>114.61</v>
      </c>
      <c r="W5">
        <f t="shared" si="11"/>
        <v>102.64065358686982</v>
      </c>
      <c r="X5">
        <v>174.9</v>
      </c>
      <c r="Y5">
        <f t="shared" si="9"/>
        <v>126.46815142322718</v>
      </c>
      <c r="Z5">
        <f>Y5-$N$9*SQRT($Q$6*((1/24)+((X5-V6)^2/$N$2)))</f>
        <v>125.77019373719295</v>
      </c>
      <c r="AA5">
        <f>Y5+$N$9*SQRT($Q$6*((1/24)+((X5-V6)^2/$N$2)))</f>
        <v>127.16610910926141</v>
      </c>
      <c r="AB5">
        <f>Y5-$N$9*SQRT($Q$6*(1+(1/24)+((X5-V6)^2/$N$2)))</f>
        <v>124.86997440248624</v>
      </c>
      <c r="AC5">
        <f>Y5+$N$9*SQRT($Q$6*(1+(1/24)+((X5-V6)^2/$N$2)))</f>
        <v>128.06632844396813</v>
      </c>
    </row>
    <row r="6" spans="1:29" x14ac:dyDescent="0.25">
      <c r="A6">
        <v>99.9</v>
      </c>
      <c r="B6" s="1">
        <v>0.10238999999999999</v>
      </c>
      <c r="C6" s="2">
        <f t="shared" si="1"/>
        <v>102.39</v>
      </c>
      <c r="D6">
        <f t="shared" si="2"/>
        <v>-37.675000000000011</v>
      </c>
      <c r="E6" s="2">
        <f t="shared" si="3"/>
        <v>-12.219999999999999</v>
      </c>
      <c r="F6">
        <f t="shared" si="4"/>
        <v>1419.4056250000008</v>
      </c>
      <c r="G6">
        <f t="shared" si="5"/>
        <v>149.32839999999996</v>
      </c>
      <c r="H6">
        <f t="shared" si="6"/>
        <v>460.38850000000008</v>
      </c>
      <c r="I6">
        <f t="shared" si="7"/>
        <v>102.64065358686982</v>
      </c>
      <c r="J6" s="2">
        <f t="shared" si="8"/>
        <v>-0.25065358686981654</v>
      </c>
      <c r="L6">
        <f>L2-M6*M2</f>
        <v>70.90242646884181</v>
      </c>
      <c r="M6">
        <f>P2/N2</f>
        <v>0.3176999711514315</v>
      </c>
      <c r="N6">
        <f>SUMSQ(J2:J25)</f>
        <v>10.573141316834386</v>
      </c>
      <c r="O6">
        <f>DEVSQ(I2:I25)</f>
        <v>1891.0620586831653</v>
      </c>
      <c r="P6">
        <f>O2</f>
        <v>1901.6352000000002</v>
      </c>
      <c r="Q6">
        <f>N6/22</f>
        <v>0.48059733258338116</v>
      </c>
      <c r="T6">
        <f>A5</f>
        <v>99.9</v>
      </c>
      <c r="U6">
        <f>C5</f>
        <v>103.34</v>
      </c>
      <c r="V6">
        <f t="shared" si="10"/>
        <v>114.61</v>
      </c>
      <c r="W6">
        <f t="shared" si="11"/>
        <v>102.64065358686982</v>
      </c>
    </row>
    <row r="7" spans="1:29" x14ac:dyDescent="0.25">
      <c r="A7">
        <v>99.9</v>
      </c>
      <c r="B7" s="1">
        <v>0.10267</v>
      </c>
      <c r="C7" s="2">
        <f t="shared" si="1"/>
        <v>102.67</v>
      </c>
      <c r="D7">
        <f t="shared" si="2"/>
        <v>-37.675000000000011</v>
      </c>
      <c r="E7" s="2">
        <f t="shared" si="3"/>
        <v>-11.939999999999998</v>
      </c>
      <c r="F7">
        <f t="shared" si="4"/>
        <v>1419.4056250000008</v>
      </c>
      <c r="G7">
        <f t="shared" si="5"/>
        <v>142.56359999999995</v>
      </c>
      <c r="H7">
        <f t="shared" si="6"/>
        <v>449.83950000000004</v>
      </c>
      <c r="I7">
        <f t="shared" si="7"/>
        <v>102.64065358686982</v>
      </c>
      <c r="J7" s="2">
        <f t="shared" si="8"/>
        <v>2.9346413130184601E-2</v>
      </c>
      <c r="T7">
        <f>A6</f>
        <v>99.9</v>
      </c>
      <c r="U7">
        <f>C6</f>
        <v>102.39</v>
      </c>
      <c r="V7">
        <f t="shared" si="10"/>
        <v>114.61</v>
      </c>
      <c r="W7">
        <f t="shared" si="11"/>
        <v>102.64065358686982</v>
      </c>
    </row>
    <row r="8" spans="1:29" x14ac:dyDescent="0.25">
      <c r="A8">
        <v>125.3</v>
      </c>
      <c r="B8" s="1">
        <v>0.11015</v>
      </c>
      <c r="C8" s="2">
        <f t="shared" si="1"/>
        <v>110.14999999999999</v>
      </c>
      <c r="D8">
        <f t="shared" si="2"/>
        <v>-12.27500000000002</v>
      </c>
      <c r="E8" s="2">
        <f t="shared" si="3"/>
        <v>-4.460000000000008</v>
      </c>
      <c r="F8">
        <f t="shared" si="4"/>
        <v>150.67562500000048</v>
      </c>
      <c r="G8">
        <f t="shared" si="5"/>
        <v>19.891600000000071</v>
      </c>
      <c r="H8">
        <f t="shared" si="6"/>
        <v>54.746500000000189</v>
      </c>
      <c r="I8">
        <f t="shared" si="7"/>
        <v>110.71023285411619</v>
      </c>
      <c r="J8" s="2">
        <f t="shared" si="8"/>
        <v>-0.56023285411619383</v>
      </c>
      <c r="L8" t="s">
        <v>21</v>
      </c>
      <c r="M8" t="s">
        <v>22</v>
      </c>
      <c r="N8" t="s">
        <v>23</v>
      </c>
      <c r="T8">
        <f>A7</f>
        <v>99.9</v>
      </c>
      <c r="U8">
        <f>C7</f>
        <v>102.67</v>
      </c>
      <c r="V8">
        <f t="shared" si="10"/>
        <v>114.61</v>
      </c>
      <c r="W8">
        <f t="shared" si="11"/>
        <v>102.64065358686982</v>
      </c>
    </row>
    <row r="9" spans="1:29" x14ac:dyDescent="0.25">
      <c r="A9">
        <v>125.3</v>
      </c>
      <c r="B9" s="1">
        <v>0.11087</v>
      </c>
      <c r="C9" s="2">
        <f t="shared" si="1"/>
        <v>110.86999999999999</v>
      </c>
      <c r="D9">
        <f t="shared" si="2"/>
        <v>-12.27500000000002</v>
      </c>
      <c r="E9" s="2">
        <f t="shared" si="3"/>
        <v>-3.7400000000000091</v>
      </c>
      <c r="F9">
        <f t="shared" si="4"/>
        <v>150.67562500000048</v>
      </c>
      <c r="G9">
        <f t="shared" si="5"/>
        <v>13.987600000000068</v>
      </c>
      <c r="H9">
        <f t="shared" si="6"/>
        <v>45.908500000000188</v>
      </c>
      <c r="I9">
        <f t="shared" si="7"/>
        <v>110.71023285411619</v>
      </c>
      <c r="J9" s="2">
        <f t="shared" si="8"/>
        <v>0.15976714588380503</v>
      </c>
      <c r="L9">
        <f>SQRT(Q6*(1/24+M2^2/N2))</f>
        <v>0.71100252589712376</v>
      </c>
      <c r="M9">
        <f>SQRT(Q6/N2)</f>
        <v>5.0647144272119374E-3</v>
      </c>
      <c r="N9">
        <f>TINV(0.05,22)</f>
        <v>2.0738730679040258</v>
      </c>
      <c r="T9">
        <f>A8</f>
        <v>125.3</v>
      </c>
      <c r="U9">
        <f>C8</f>
        <v>110.14999999999999</v>
      </c>
      <c r="V9">
        <f t="shared" si="10"/>
        <v>114.61</v>
      </c>
      <c r="W9">
        <f t="shared" si="11"/>
        <v>110.71023285411619</v>
      </c>
    </row>
    <row r="10" spans="1:29" x14ac:dyDescent="0.25">
      <c r="A10">
        <v>125.3</v>
      </c>
      <c r="B10" s="1">
        <v>0.11076999999999999</v>
      </c>
      <c r="C10" s="2">
        <f t="shared" si="1"/>
        <v>110.77</v>
      </c>
      <c r="D10">
        <f t="shared" si="2"/>
        <v>-12.27500000000002</v>
      </c>
      <c r="E10" s="2">
        <f t="shared" si="3"/>
        <v>-3.8400000000000034</v>
      </c>
      <c r="F10">
        <f t="shared" si="4"/>
        <v>150.67562500000048</v>
      </c>
      <c r="G10">
        <f t="shared" si="5"/>
        <v>14.745600000000026</v>
      </c>
      <c r="H10">
        <f t="shared" si="6"/>
        <v>47.136000000000116</v>
      </c>
      <c r="I10">
        <f t="shared" si="7"/>
        <v>110.71023285411619</v>
      </c>
      <c r="J10" s="2">
        <f t="shared" si="8"/>
        <v>5.9767145883810713E-2</v>
      </c>
      <c r="T10">
        <f>A9</f>
        <v>125.3</v>
      </c>
      <c r="U10">
        <f>C9</f>
        <v>110.86999999999999</v>
      </c>
      <c r="V10">
        <f t="shared" si="10"/>
        <v>114.61</v>
      </c>
      <c r="W10">
        <f t="shared" si="11"/>
        <v>110.71023285411619</v>
      </c>
    </row>
    <row r="11" spans="1:29" x14ac:dyDescent="0.25">
      <c r="A11">
        <v>125.3</v>
      </c>
      <c r="B11" s="1">
        <v>0.1099</v>
      </c>
      <c r="C11" s="2">
        <f t="shared" si="1"/>
        <v>109.89999999999999</v>
      </c>
      <c r="D11">
        <f t="shared" si="2"/>
        <v>-12.27500000000002</v>
      </c>
      <c r="E11" s="2">
        <f t="shared" si="3"/>
        <v>-4.710000000000008</v>
      </c>
      <c r="F11">
        <f t="shared" si="4"/>
        <v>150.67562500000048</v>
      </c>
      <c r="G11">
        <f t="shared" si="5"/>
        <v>22.184100000000075</v>
      </c>
      <c r="H11">
        <f t="shared" si="6"/>
        <v>57.815250000000191</v>
      </c>
      <c r="I11">
        <f t="shared" si="7"/>
        <v>110.71023285411619</v>
      </c>
      <c r="J11" s="2">
        <f t="shared" si="8"/>
        <v>-0.81023285411619383</v>
      </c>
      <c r="L11" t="s">
        <v>24</v>
      </c>
      <c r="M11" t="s">
        <v>26</v>
      </c>
      <c r="O11" t="s">
        <v>28</v>
      </c>
      <c r="T11">
        <f>A10</f>
        <v>125.3</v>
      </c>
      <c r="U11">
        <f>C10</f>
        <v>110.77</v>
      </c>
      <c r="V11">
        <f t="shared" si="10"/>
        <v>114.61</v>
      </c>
      <c r="W11">
        <f t="shared" si="11"/>
        <v>110.71023285411619</v>
      </c>
    </row>
    <row r="12" spans="1:29" x14ac:dyDescent="0.25">
      <c r="A12">
        <v>125.3</v>
      </c>
      <c r="B12" s="1">
        <v>0.1103</v>
      </c>
      <c r="C12" s="2">
        <f t="shared" si="1"/>
        <v>110.3</v>
      </c>
      <c r="D12">
        <f t="shared" si="2"/>
        <v>-12.27500000000002</v>
      </c>
      <c r="E12" s="2">
        <f t="shared" si="3"/>
        <v>-4.3100000000000023</v>
      </c>
      <c r="F12">
        <f t="shared" si="4"/>
        <v>150.67562500000048</v>
      </c>
      <c r="G12">
        <f t="shared" si="5"/>
        <v>18.576100000000018</v>
      </c>
      <c r="H12">
        <f t="shared" si="6"/>
        <v>52.905250000000116</v>
      </c>
      <c r="I12">
        <f t="shared" si="7"/>
        <v>110.71023285411619</v>
      </c>
      <c r="J12" s="2">
        <f t="shared" si="8"/>
        <v>-0.41023285411618815</v>
      </c>
      <c r="L12">
        <f>L6-$N$9*L9</f>
        <v>69.427897479172032</v>
      </c>
      <c r="M12">
        <f>M6-$N$9*M9</f>
        <v>0.30719639630421169</v>
      </c>
      <c r="O12" t="s">
        <v>29</v>
      </c>
      <c r="P12">
        <f>O6</f>
        <v>1891.0620586831653</v>
      </c>
      <c r="T12">
        <f>A11</f>
        <v>125.3</v>
      </c>
      <c r="U12">
        <f>C11</f>
        <v>109.89999999999999</v>
      </c>
      <c r="V12">
        <f t="shared" si="10"/>
        <v>114.61</v>
      </c>
      <c r="W12">
        <f t="shared" si="11"/>
        <v>110.71023285411619</v>
      </c>
    </row>
    <row r="13" spans="1:29" x14ac:dyDescent="0.25">
      <c r="A13">
        <v>125.3</v>
      </c>
      <c r="B13" s="1">
        <v>0.11167000000000001</v>
      </c>
      <c r="C13" s="2">
        <f t="shared" si="1"/>
        <v>111.67</v>
      </c>
      <c r="D13">
        <f t="shared" si="2"/>
        <v>-12.27500000000002</v>
      </c>
      <c r="E13" s="2">
        <f t="shared" si="3"/>
        <v>-2.9399999999999977</v>
      </c>
      <c r="F13">
        <f t="shared" si="4"/>
        <v>150.67562500000048</v>
      </c>
      <c r="G13">
        <f t="shared" si="5"/>
        <v>8.6435999999999868</v>
      </c>
      <c r="H13">
        <f t="shared" si="6"/>
        <v>36.088500000000032</v>
      </c>
      <c r="I13">
        <f t="shared" si="7"/>
        <v>110.71023285411619</v>
      </c>
      <c r="J13" s="2">
        <f t="shared" si="8"/>
        <v>0.9597671458838164</v>
      </c>
      <c r="L13" t="s">
        <v>25</v>
      </c>
      <c r="M13" t="s">
        <v>27</v>
      </c>
      <c r="O13" t="s">
        <v>30</v>
      </c>
      <c r="P13">
        <f>Q6</f>
        <v>0.48059733258338116</v>
      </c>
      <c r="T13">
        <f>A12</f>
        <v>125.3</v>
      </c>
      <c r="U13">
        <f>C12</f>
        <v>110.3</v>
      </c>
      <c r="V13">
        <f t="shared" si="10"/>
        <v>114.61</v>
      </c>
      <c r="W13">
        <f t="shared" si="11"/>
        <v>110.71023285411619</v>
      </c>
    </row>
    <row r="14" spans="1:29" x14ac:dyDescent="0.25">
      <c r="A14">
        <v>150.19999999999999</v>
      </c>
      <c r="B14" s="1">
        <v>0.11842999999999999</v>
      </c>
      <c r="C14" s="2">
        <f t="shared" si="1"/>
        <v>118.42999999999999</v>
      </c>
      <c r="D14">
        <f t="shared" si="2"/>
        <v>12.624999999999972</v>
      </c>
      <c r="E14" s="2">
        <f t="shared" si="3"/>
        <v>3.8199999999999932</v>
      </c>
      <c r="F14">
        <f t="shared" si="4"/>
        <v>159.39062499999929</v>
      </c>
      <c r="G14">
        <f t="shared" si="5"/>
        <v>14.592399999999948</v>
      </c>
      <c r="H14">
        <f t="shared" si="6"/>
        <v>48.227499999999807</v>
      </c>
      <c r="I14">
        <f t="shared" si="7"/>
        <v>118.62096213578681</v>
      </c>
      <c r="J14" s="2">
        <f t="shared" si="8"/>
        <v>-0.19096213578681898</v>
      </c>
      <c r="L14">
        <f>L6+$N$9*L9</f>
        <v>72.376955458511588</v>
      </c>
      <c r="M14">
        <f>M6+$N$9*M9</f>
        <v>0.32820354599865131</v>
      </c>
      <c r="O14" t="s">
        <v>31</v>
      </c>
      <c r="P14">
        <f>P12/P13</f>
        <v>3934.8159685324008</v>
      </c>
      <c r="T14">
        <f>A13</f>
        <v>125.3</v>
      </c>
      <c r="U14">
        <f>C13</f>
        <v>111.67</v>
      </c>
      <c r="V14">
        <f t="shared" si="10"/>
        <v>114.61</v>
      </c>
      <c r="W14">
        <f t="shared" si="11"/>
        <v>110.71023285411619</v>
      </c>
    </row>
    <row r="15" spans="1:29" x14ac:dyDescent="0.25">
      <c r="A15">
        <v>150.19999999999999</v>
      </c>
      <c r="B15" s="1">
        <v>0.11935999999999999</v>
      </c>
      <c r="C15" s="2">
        <f t="shared" si="1"/>
        <v>119.36</v>
      </c>
      <c r="D15">
        <f t="shared" si="2"/>
        <v>12.624999999999972</v>
      </c>
      <c r="E15" s="2">
        <f t="shared" si="3"/>
        <v>4.75</v>
      </c>
      <c r="F15">
        <f t="shared" si="4"/>
        <v>159.39062499999929</v>
      </c>
      <c r="G15">
        <f t="shared" si="5"/>
        <v>22.5625</v>
      </c>
      <c r="H15">
        <f t="shared" si="6"/>
        <v>59.968749999999865</v>
      </c>
      <c r="I15">
        <f t="shared" si="7"/>
        <v>118.62096213578681</v>
      </c>
      <c r="J15" s="2">
        <f t="shared" si="8"/>
        <v>0.73903786421318785</v>
      </c>
      <c r="O15" t="s">
        <v>32</v>
      </c>
      <c r="P15">
        <f>FINV(0.05,1,22)</f>
        <v>4.3009495017776587</v>
      </c>
      <c r="T15">
        <f>A14</f>
        <v>150.19999999999999</v>
      </c>
      <c r="U15">
        <f>C14</f>
        <v>118.42999999999999</v>
      </c>
      <c r="V15">
        <f t="shared" si="10"/>
        <v>114.61</v>
      </c>
      <c r="W15">
        <f t="shared" si="11"/>
        <v>118.62096213578681</v>
      </c>
    </row>
    <row r="16" spans="1:29" x14ac:dyDescent="0.25">
      <c r="A16">
        <v>150.19999999999999</v>
      </c>
      <c r="B16" s="1">
        <v>0.11946</v>
      </c>
      <c r="C16" s="2">
        <f t="shared" si="1"/>
        <v>119.46</v>
      </c>
      <c r="D16">
        <f t="shared" si="2"/>
        <v>12.624999999999972</v>
      </c>
      <c r="E16" s="2">
        <f t="shared" si="3"/>
        <v>4.8499999999999943</v>
      </c>
      <c r="F16">
        <f t="shared" si="4"/>
        <v>159.39062499999929</v>
      </c>
      <c r="G16">
        <f t="shared" si="5"/>
        <v>23.522499999999944</v>
      </c>
      <c r="H16">
        <f t="shared" si="6"/>
        <v>61.23124999999979</v>
      </c>
      <c r="I16">
        <f t="shared" si="7"/>
        <v>118.62096213578681</v>
      </c>
      <c r="J16" s="2">
        <f t="shared" si="8"/>
        <v>0.83903786421318216</v>
      </c>
      <c r="O16" t="s">
        <v>33</v>
      </c>
      <c r="P16">
        <f>FDIST(P14,1,22)</f>
        <v>2.646975759779498E-26</v>
      </c>
      <c r="T16">
        <f>A15</f>
        <v>150.19999999999999</v>
      </c>
      <c r="U16">
        <f>C15</f>
        <v>119.36</v>
      </c>
      <c r="V16">
        <f t="shared" si="10"/>
        <v>114.61</v>
      </c>
      <c r="W16">
        <f t="shared" si="11"/>
        <v>118.62096213578681</v>
      </c>
    </row>
    <row r="17" spans="1:23" x14ac:dyDescent="0.25">
      <c r="A17">
        <v>150.19999999999999</v>
      </c>
      <c r="B17" s="1">
        <v>0.11755</v>
      </c>
      <c r="C17" s="2">
        <f t="shared" si="1"/>
        <v>117.55</v>
      </c>
      <c r="D17">
        <f t="shared" si="2"/>
        <v>12.624999999999972</v>
      </c>
      <c r="E17" s="2">
        <f t="shared" si="3"/>
        <v>2.9399999999999977</v>
      </c>
      <c r="F17">
        <f t="shared" si="4"/>
        <v>159.39062499999929</v>
      </c>
      <c r="G17">
        <f t="shared" si="5"/>
        <v>8.6435999999999868</v>
      </c>
      <c r="H17">
        <f t="shared" si="6"/>
        <v>37.117499999999886</v>
      </c>
      <c r="I17">
        <f t="shared" si="7"/>
        <v>118.62096213578681</v>
      </c>
      <c r="J17" s="2">
        <f t="shared" si="8"/>
        <v>-1.0709621357868144</v>
      </c>
      <c r="T17">
        <f>A16</f>
        <v>150.19999999999999</v>
      </c>
      <c r="U17">
        <f>C16</f>
        <v>119.46</v>
      </c>
      <c r="V17">
        <f t="shared" si="10"/>
        <v>114.61</v>
      </c>
      <c r="W17">
        <f t="shared" si="11"/>
        <v>118.62096213578681</v>
      </c>
    </row>
    <row r="18" spans="1:23" x14ac:dyDescent="0.25">
      <c r="A18">
        <v>150.19999999999999</v>
      </c>
      <c r="B18" s="1">
        <v>0.11781</v>
      </c>
      <c r="C18" s="2">
        <f t="shared" si="1"/>
        <v>117.81</v>
      </c>
      <c r="D18">
        <f t="shared" si="2"/>
        <v>12.624999999999972</v>
      </c>
      <c r="E18" s="2">
        <f t="shared" si="3"/>
        <v>3.2000000000000028</v>
      </c>
      <c r="F18">
        <f t="shared" si="4"/>
        <v>159.39062499999929</v>
      </c>
      <c r="G18">
        <f t="shared" si="5"/>
        <v>10.240000000000018</v>
      </c>
      <c r="H18">
        <f t="shared" si="6"/>
        <v>40.399999999999942</v>
      </c>
      <c r="I18">
        <f t="shared" si="7"/>
        <v>118.62096213578681</v>
      </c>
      <c r="J18" s="2">
        <f t="shared" si="8"/>
        <v>-0.81096213578680931</v>
      </c>
      <c r="O18" t="s">
        <v>34</v>
      </c>
      <c r="T18">
        <f>A17</f>
        <v>150.19999999999999</v>
      </c>
      <c r="U18">
        <f>C17</f>
        <v>117.55</v>
      </c>
      <c r="V18">
        <f t="shared" si="10"/>
        <v>114.61</v>
      </c>
      <c r="W18">
        <f t="shared" si="11"/>
        <v>118.62096213578681</v>
      </c>
    </row>
    <row r="19" spans="1:23" x14ac:dyDescent="0.25">
      <c r="A19">
        <v>150.19999999999999</v>
      </c>
      <c r="B19" s="1">
        <v>0.11738999999999999</v>
      </c>
      <c r="C19" s="2">
        <f t="shared" si="1"/>
        <v>117.39</v>
      </c>
      <c r="D19">
        <f t="shared" si="2"/>
        <v>12.624999999999972</v>
      </c>
      <c r="E19" s="2">
        <f t="shared" si="3"/>
        <v>2.7800000000000011</v>
      </c>
      <c r="F19">
        <f t="shared" si="4"/>
        <v>159.39062499999929</v>
      </c>
      <c r="G19">
        <f t="shared" si="5"/>
        <v>7.7284000000000059</v>
      </c>
      <c r="H19">
        <f t="shared" si="6"/>
        <v>35.097499999999933</v>
      </c>
      <c r="I19">
        <f t="shared" si="7"/>
        <v>118.62096213578681</v>
      </c>
      <c r="J19" s="2">
        <f t="shared" si="8"/>
        <v>-1.230962135786811</v>
      </c>
      <c r="O19" t="s">
        <v>35</v>
      </c>
      <c r="P19">
        <f>M6</f>
        <v>0.3176999711514315</v>
      </c>
      <c r="T19">
        <f>A18</f>
        <v>150.19999999999999</v>
      </c>
      <c r="U19">
        <f>C18</f>
        <v>117.81</v>
      </c>
      <c r="V19">
        <f t="shared" si="10"/>
        <v>114.61</v>
      </c>
      <c r="W19">
        <f t="shared" si="11"/>
        <v>118.62096213578681</v>
      </c>
    </row>
    <row r="20" spans="1:23" x14ac:dyDescent="0.25">
      <c r="A20">
        <v>174.9</v>
      </c>
      <c r="B20" s="1">
        <v>0.12717000000000001</v>
      </c>
      <c r="C20" s="2">
        <f t="shared" si="1"/>
        <v>127.17</v>
      </c>
      <c r="D20">
        <f t="shared" si="2"/>
        <v>37.324999999999989</v>
      </c>
      <c r="E20" s="2">
        <f t="shared" si="3"/>
        <v>12.560000000000002</v>
      </c>
      <c r="F20">
        <f t="shared" si="4"/>
        <v>1393.1556249999992</v>
      </c>
      <c r="G20">
        <f t="shared" si="5"/>
        <v>157.75360000000006</v>
      </c>
      <c r="H20">
        <f t="shared" si="6"/>
        <v>468.80199999999996</v>
      </c>
      <c r="I20">
        <f t="shared" si="7"/>
        <v>126.46815142322718</v>
      </c>
      <c r="J20" s="2">
        <f t="shared" si="8"/>
        <v>0.70184857677281798</v>
      </c>
      <c r="O20" t="s">
        <v>22</v>
      </c>
      <c r="P20">
        <f>M9</f>
        <v>5.0647144272119374E-3</v>
      </c>
      <c r="T20">
        <f>A19</f>
        <v>150.19999999999999</v>
      </c>
      <c r="U20">
        <f>C19</f>
        <v>117.39</v>
      </c>
      <c r="V20">
        <f t="shared" si="10"/>
        <v>114.61</v>
      </c>
      <c r="W20">
        <f t="shared" si="11"/>
        <v>118.62096213578681</v>
      </c>
    </row>
    <row r="21" spans="1:23" x14ac:dyDescent="0.25">
      <c r="A21">
        <v>174.9</v>
      </c>
      <c r="B21" s="1">
        <v>0.12587000000000001</v>
      </c>
      <c r="C21" s="2">
        <f t="shared" si="1"/>
        <v>125.87</v>
      </c>
      <c r="D21">
        <f t="shared" si="2"/>
        <v>37.324999999999989</v>
      </c>
      <c r="E21" s="2">
        <f t="shared" si="3"/>
        <v>11.260000000000005</v>
      </c>
      <c r="F21">
        <f t="shared" si="4"/>
        <v>1393.1556249999992</v>
      </c>
      <c r="G21">
        <f t="shared" si="5"/>
        <v>126.78760000000011</v>
      </c>
      <c r="H21">
        <f t="shared" si="6"/>
        <v>420.27950000000004</v>
      </c>
      <c r="I21">
        <f t="shared" si="7"/>
        <v>126.46815142322718</v>
      </c>
      <c r="J21" s="2">
        <f t="shared" si="8"/>
        <v>-0.59815142322717918</v>
      </c>
      <c r="O21" t="s">
        <v>36</v>
      </c>
      <c r="P21">
        <f>P19/P20</f>
        <v>62.728111469519007</v>
      </c>
      <c r="T21">
        <f>A20</f>
        <v>174.9</v>
      </c>
      <c r="U21">
        <f>C20</f>
        <v>127.17</v>
      </c>
      <c r="V21">
        <f t="shared" si="10"/>
        <v>114.61</v>
      </c>
      <c r="W21">
        <f t="shared" si="11"/>
        <v>126.46815142322718</v>
      </c>
    </row>
    <row r="22" spans="1:23" x14ac:dyDescent="0.25">
      <c r="A22">
        <v>174.9</v>
      </c>
      <c r="B22" s="1">
        <v>0.1258</v>
      </c>
      <c r="C22" s="2">
        <f t="shared" si="1"/>
        <v>125.8</v>
      </c>
      <c r="D22">
        <f t="shared" si="2"/>
        <v>37.324999999999989</v>
      </c>
      <c r="E22" s="2">
        <f t="shared" si="3"/>
        <v>11.189999999999998</v>
      </c>
      <c r="F22">
        <f t="shared" si="4"/>
        <v>1393.1556249999992</v>
      </c>
      <c r="G22">
        <f t="shared" si="5"/>
        <v>125.21609999999995</v>
      </c>
      <c r="H22">
        <f t="shared" si="6"/>
        <v>417.66674999999981</v>
      </c>
      <c r="I22">
        <f t="shared" si="7"/>
        <v>126.46815142322718</v>
      </c>
      <c r="J22" s="2">
        <f t="shared" si="8"/>
        <v>-0.66815142322718657</v>
      </c>
      <c r="O22" t="s">
        <v>37</v>
      </c>
      <c r="P22">
        <f>TINV(0.05,22)</f>
        <v>2.0738730679040258</v>
      </c>
      <c r="T22">
        <f>A21</f>
        <v>174.9</v>
      </c>
      <c r="U22">
        <f>C21</f>
        <v>125.87</v>
      </c>
      <c r="V22">
        <f t="shared" si="10"/>
        <v>114.61</v>
      </c>
      <c r="W22">
        <f t="shared" si="11"/>
        <v>126.46815142322718</v>
      </c>
    </row>
    <row r="23" spans="1:23" x14ac:dyDescent="0.25">
      <c r="A23">
        <v>174.9</v>
      </c>
      <c r="B23" s="1">
        <v>0.12670000000000001</v>
      </c>
      <c r="C23" s="2">
        <f t="shared" si="1"/>
        <v>126.7</v>
      </c>
      <c r="D23">
        <f t="shared" si="2"/>
        <v>37.324999999999989</v>
      </c>
      <c r="E23" s="2">
        <f t="shared" si="3"/>
        <v>12.090000000000003</v>
      </c>
      <c r="F23">
        <f t="shared" si="4"/>
        <v>1393.1556249999992</v>
      </c>
      <c r="G23">
        <f t="shared" si="5"/>
        <v>146.16810000000009</v>
      </c>
      <c r="H23">
        <f t="shared" si="6"/>
        <v>451.25925000000001</v>
      </c>
      <c r="I23">
        <f t="shared" si="7"/>
        <v>126.46815142322718</v>
      </c>
      <c r="J23" s="2">
        <f t="shared" si="8"/>
        <v>0.23184857677281911</v>
      </c>
      <c r="O23" t="s">
        <v>33</v>
      </c>
      <c r="P23">
        <f>TDIST(P21,22,2)</f>
        <v>2.646975759779498E-26</v>
      </c>
      <c r="T23">
        <f>A22</f>
        <v>174.9</v>
      </c>
      <c r="U23">
        <f>C22</f>
        <v>125.8</v>
      </c>
      <c r="V23">
        <f t="shared" si="10"/>
        <v>114.61</v>
      </c>
      <c r="W23">
        <f t="shared" si="11"/>
        <v>126.46815142322718</v>
      </c>
    </row>
    <row r="24" spans="1:23" x14ac:dyDescent="0.25">
      <c r="A24">
        <v>174.9</v>
      </c>
      <c r="B24" s="1">
        <v>0.12728999999999999</v>
      </c>
      <c r="C24" s="2">
        <f t="shared" si="1"/>
        <v>127.28999999999999</v>
      </c>
      <c r="D24">
        <f t="shared" si="2"/>
        <v>37.324999999999989</v>
      </c>
      <c r="E24" s="2">
        <f t="shared" si="3"/>
        <v>12.679999999999993</v>
      </c>
      <c r="F24">
        <f t="shared" si="4"/>
        <v>1393.1556249999992</v>
      </c>
      <c r="G24">
        <f t="shared" si="5"/>
        <v>160.78239999999983</v>
      </c>
      <c r="H24">
        <f t="shared" si="6"/>
        <v>473.28099999999961</v>
      </c>
      <c r="I24">
        <f t="shared" si="7"/>
        <v>126.46815142322718</v>
      </c>
      <c r="J24" s="2">
        <f t="shared" si="8"/>
        <v>0.82184857677280831</v>
      </c>
      <c r="T24">
        <f>A23</f>
        <v>174.9</v>
      </c>
      <c r="U24">
        <f>C23</f>
        <v>126.7</v>
      </c>
      <c r="V24">
        <f t="shared" si="10"/>
        <v>114.61</v>
      </c>
      <c r="W24">
        <f t="shared" si="11"/>
        <v>126.46815142322718</v>
      </c>
    </row>
    <row r="25" spans="1:23" x14ac:dyDescent="0.25">
      <c r="A25">
        <v>174.9</v>
      </c>
      <c r="B25" s="1">
        <v>0.12734000000000001</v>
      </c>
      <c r="C25" s="2">
        <f t="shared" si="1"/>
        <v>127.34</v>
      </c>
      <c r="D25">
        <f t="shared" si="2"/>
        <v>37.324999999999989</v>
      </c>
      <c r="E25" s="2">
        <f t="shared" si="3"/>
        <v>12.730000000000004</v>
      </c>
      <c r="F25">
        <f t="shared" si="4"/>
        <v>1393.1556249999992</v>
      </c>
      <c r="G25">
        <f t="shared" si="5"/>
        <v>162.05290000000011</v>
      </c>
      <c r="H25">
        <f t="shared" si="6"/>
        <v>475.14724999999999</v>
      </c>
      <c r="I25">
        <f t="shared" si="7"/>
        <v>126.46815142322718</v>
      </c>
      <c r="J25" s="2">
        <f t="shared" si="8"/>
        <v>0.87184857677281968</v>
      </c>
      <c r="T25">
        <f>A24</f>
        <v>174.9</v>
      </c>
      <c r="U25">
        <f>C24</f>
        <v>127.28999999999999</v>
      </c>
      <c r="V25">
        <f t="shared" si="10"/>
        <v>114.61</v>
      </c>
      <c r="W25">
        <f t="shared" si="11"/>
        <v>126.46815142322718</v>
      </c>
    </row>
    <row r="26" spans="1:23" x14ac:dyDescent="0.25">
      <c r="T26">
        <f>A25</f>
        <v>174.9</v>
      </c>
      <c r="U26">
        <f>C25</f>
        <v>127.34</v>
      </c>
      <c r="V26">
        <f t="shared" si="10"/>
        <v>114.61</v>
      </c>
      <c r="W26">
        <f t="shared" si="11"/>
        <v>126.46815142322718</v>
      </c>
    </row>
    <row r="27" spans="1:23" x14ac:dyDescent="0.25">
      <c r="T27">
        <v>180</v>
      </c>
      <c r="U27" t="e">
        <f>NA()</f>
        <v>#N/A</v>
      </c>
      <c r="V27">
        <f t="shared" si="10"/>
        <v>114.61</v>
      </c>
      <c r="W27">
        <f t="shared" ref="W27" si="12">$L$6+$M$6*T27</f>
        <v>128.0884212760995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Chart4</vt:lpstr>
    </vt:vector>
  </TitlesOfParts>
  <Company>UF College of Liberal Arts &amp; Sciences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2013-09-04T11:05:20Z</dcterms:created>
  <dcterms:modified xsi:type="dcterms:W3CDTF">2015-09-02T13:59:25Z</dcterms:modified>
</cp:coreProperties>
</file>